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TA-BID.PPSIP\Downloads\"/>
    </mc:Choice>
  </mc:AlternateContent>
  <xr:revisionPtr revIDLastSave="0" documentId="13_ncr:1_{1DECD532-131B-46EE-A4F6-304A249B7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31" i="2"/>
  <c r="C32" i="2" s="1"/>
  <c r="C30" i="2"/>
  <c r="C25" i="2"/>
  <c r="C20" i="2"/>
  <c r="C13" i="2"/>
  <c r="C15" i="2" s="1"/>
  <c r="C12" i="2"/>
  <c r="C11" i="2"/>
  <c r="C10" i="2"/>
  <c r="C7" i="2"/>
  <c r="C6" i="2"/>
  <c r="C5" i="2"/>
  <c r="C4" i="2"/>
  <c r="C3" i="2"/>
  <c r="C2" i="2"/>
  <c r="D2" i="2"/>
  <c r="F9" i="2"/>
  <c r="F10" i="2"/>
  <c r="E37" i="2"/>
  <c r="E36" i="2"/>
  <c r="E35" i="2"/>
  <c r="F28" i="2"/>
  <c r="F25" i="2"/>
  <c r="E28" i="2"/>
  <c r="F23" i="2"/>
  <c r="E23" i="2"/>
  <c r="F19" i="2"/>
  <c r="E19" i="2"/>
  <c r="F16" i="2"/>
  <c r="E16" i="2"/>
  <c r="F32" i="2"/>
  <c r="F31" i="2"/>
  <c r="F29" i="2"/>
  <c r="F20" i="2"/>
  <c r="F24" i="2" s="1"/>
  <c r="E38" i="2"/>
  <c r="E42" i="2"/>
  <c r="F42" i="2"/>
  <c r="E40" i="2"/>
  <c r="D40" i="2"/>
  <c r="F48" i="2"/>
  <c r="F47" i="2"/>
  <c r="F46" i="2"/>
  <c r="F8" i="2" s="1"/>
  <c r="E48" i="2"/>
  <c r="E47" i="2"/>
  <c r="E46" i="2"/>
  <c r="E39" i="2"/>
  <c r="E34" i="2"/>
  <c r="D34" i="2"/>
  <c r="E32" i="2"/>
  <c r="E31" i="2"/>
  <c r="D32" i="2"/>
  <c r="D31" i="2"/>
  <c r="D30" i="2"/>
  <c r="E29" i="2"/>
  <c r="E25" i="2"/>
  <c r="E27" i="2" s="1"/>
  <c r="D25" i="2"/>
  <c r="E20" i="2"/>
  <c r="D20" i="2"/>
  <c r="E17" i="2"/>
  <c r="E12" i="2"/>
  <c r="F12" i="2"/>
  <c r="E11" i="2"/>
  <c r="E10" i="2"/>
  <c r="E9" i="2"/>
  <c r="D10" i="2"/>
  <c r="D13" i="2"/>
  <c r="D12" i="2"/>
  <c r="D14" i="2" s="1"/>
  <c r="D11" i="2"/>
  <c r="F14" i="2"/>
  <c r="E13" i="2"/>
  <c r="F13" i="2"/>
  <c r="F18" i="2"/>
  <c r="F21" i="2"/>
  <c r="D7" i="2"/>
  <c r="D6" i="2"/>
  <c r="D5" i="2"/>
  <c r="D4" i="2"/>
  <c r="D3" i="2"/>
  <c r="E7" i="2"/>
  <c r="E6" i="2"/>
  <c r="E5" i="2"/>
  <c r="E4" i="2"/>
  <c r="E3" i="2"/>
  <c r="E2" i="2"/>
  <c r="F7" i="2"/>
  <c r="F6" i="2"/>
  <c r="F5" i="2"/>
  <c r="F4" i="2"/>
  <c r="F3" i="2"/>
  <c r="F2" i="2"/>
  <c r="F17" i="2"/>
  <c r="E43" i="2"/>
  <c r="E26" i="2"/>
  <c r="E22" i="2"/>
  <c r="E21" i="2"/>
  <c r="E15" i="2"/>
  <c r="C26" i="2" l="1"/>
  <c r="F26" i="2"/>
  <c r="E8" i="2"/>
  <c r="D35" i="2"/>
  <c r="E24" i="2"/>
  <c r="E14" i="2"/>
  <c r="E18" i="2"/>
  <c r="F43" i="2"/>
  <c r="F15" i="2"/>
  <c r="F27" i="2"/>
  <c r="F22" i="2"/>
  <c r="C14" i="2"/>
</calcChain>
</file>

<file path=xl/sharedStrings.xml><?xml version="1.0" encoding="utf-8"?>
<sst xmlns="http://schemas.openxmlformats.org/spreadsheetml/2006/main" count="94" uniqueCount="54">
  <si>
    <t>1. Pajak Daerah</t>
  </si>
  <si>
    <t>2. Retribusi Daerah</t>
  </si>
  <si>
    <t>3. Hasil Pengelolaan Kekayaan Daerah yang dipisahkan</t>
  </si>
  <si>
    <t>4. Lain-lain Pendapatan Asli Daerah yang sah</t>
  </si>
  <si>
    <t>Pendapatan Daerah</t>
  </si>
  <si>
    <t>No</t>
  </si>
  <si>
    <t>Daftar Data</t>
  </si>
  <si>
    <t>7. Rasio Pendapatan Asli Daerah Terhadap Total Belanja APBD</t>
  </si>
  <si>
    <t>8. Persentase Pertumbuhan PAD</t>
  </si>
  <si>
    <t>9. Pelampauan Penerimaan PAD</t>
  </si>
  <si>
    <t>10. Pelampauan Lain-lain PAD yang Sah</t>
  </si>
  <si>
    <t>Pendapatan asli daerah</t>
  </si>
  <si>
    <t>3. Dana Alokasi Khusus</t>
  </si>
  <si>
    <t>2. Dana Alokasi Umum</t>
  </si>
  <si>
    <t>2. Dana Bagi Hasil Pajak dari Provinsi dan Pemerintah Daerah lainnya</t>
  </si>
  <si>
    <t>7. Rasio Jumlah Pendapatan Daerah Terhadap Total Belanja APBD</t>
  </si>
  <si>
    <t>8. Persentase Pertumbuhan Total Pendapatan</t>
  </si>
  <si>
    <t>1. Dana Bagi Hasil Pajak/ Bagi Hasil Bukan Pajak</t>
  </si>
  <si>
    <t>Dana perimbangan</t>
  </si>
  <si>
    <t>1. Hibah</t>
  </si>
  <si>
    <t>Lain-lain pendapatan daerah yang sah</t>
  </si>
  <si>
    <t>3. Bantuan Keuangan dari Provinsi atau Pemerintah Daerah lainnya</t>
  </si>
  <si>
    <t>4. Pendapatan Hibah dari Badan/Lembaga/Organisasi Swasta dalam negeri</t>
  </si>
  <si>
    <t>5. Pendapatan Hibah dari Kelompok Masyarakat</t>
  </si>
  <si>
    <t>Satuan</t>
  </si>
  <si>
    <t>Rp Juta</t>
  </si>
  <si>
    <t>%</t>
  </si>
  <si>
    <t>Rp</t>
  </si>
  <si>
    <t>4. Dana Penyesuaian (DID)</t>
  </si>
  <si>
    <t>Terisi pada Ringkasan APBD Tahun 2021</t>
  </si>
  <si>
    <t>Keterangan</t>
  </si>
  <si>
    <t>a. Rasio Dana Bagi Hasil Pajak/Bagi Hasil Bukan Pajak Terhadap Dana Perimbangan</t>
  </si>
  <si>
    <t>b. Rasio Dana Bagi Hasil Pajak/Bagi Hasil Bukan Pajak Terhadap Pendapatan Daerah</t>
  </si>
  <si>
    <t>c. Rasio Dana Bagi Hasil Pajak/Bagi Hasil Bukan Pajak Terhadap Total Belanja APBD</t>
  </si>
  <si>
    <t>d. Persentase Pertumbuhan Dana Bagi Hasil Pajak/Bagi Hasil Bukan Pajak</t>
  </si>
  <si>
    <t>e. Persentase Pertumbuhan Dana Perimbangan</t>
  </si>
  <si>
    <t>f. Rasio Dana Perimbangan bn Terhadap Total Belanja APBD</t>
  </si>
  <si>
    <t>a. Rasio Dana Alokasi Khusus Terhadap Dana Perimbangan</t>
  </si>
  <si>
    <t>b. Rasio Dana Alokasi Khusus Terhadap Pendapatan Daerah</t>
  </si>
  <si>
    <t>d. Persentase Pertumbuhan Dana Alokasi Khusus</t>
  </si>
  <si>
    <t>a. Nilai Dana Bagi Hasil Pajak dari Provinsi dan Pemerintah Daerah lainnya</t>
  </si>
  <si>
    <t>b. Rasio Dana Bagi Hasil Pajak dari Provinsi dan Pemerintah Daerah Lainnya Terhadap Lain- Lain Pendapat</t>
  </si>
  <si>
    <t>c. Rasio Dana Bagi Hasil Pajak dari Provinsi dan Pemerintah Daerah Lainnya Terhadap Pendapatan Daerah</t>
  </si>
  <si>
    <t>d. Rasio Dana Bagi Hasil Pajak dari Provinsi dan Pemerintah Daerah Lainnya Terhadap Total Belanja APBD</t>
  </si>
  <si>
    <t>e. Persentase Pertumbuhan Dana Bagi Hasil Pajak dari Provinsi dan Pemerintah Daerah lainnya</t>
  </si>
  <si>
    <t>a. Rasio Dana Alokasi Umum Terhadap Dana Perimbangan</t>
  </si>
  <si>
    <t>b. Rasio Dana Alokasi Umum Terhadap Pendapatan Daerah</t>
  </si>
  <si>
    <t>d. Persentase Pertumbuhan Dana Alokasi Umum</t>
  </si>
  <si>
    <t>c. Rasio Dana Alokasi Umum Terhadap Total Belanja APBD</t>
  </si>
  <si>
    <t>c. Rasio Dana Alokasi Khusus Terhadap Total Belanja APBD</t>
  </si>
  <si>
    <t>Belanja daerah</t>
  </si>
  <si>
    <t>PAD</t>
  </si>
  <si>
    <t>pendapatan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</si>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</sst>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164" formatCode="_-[$Rp-3809]* #,##0.00_-;\-[$Rp-3809]* #,##0.00_-;_-[$Rp-3809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1F1F1F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8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8" fillId="0" borderId="10" xfId="0" applyFont="1" applyBorder="1" applyAlignment="1">
      <alignment horizontal="center" vertical="top" wrapText="1"/>
    </xf>
    <xf numFmtId="10" fontId="0" fillId="0" borderId="10" xfId="0" applyNumberFormat="1" applyBorder="1"/>
    <xf numFmtId="0" fontId="19" fillId="0" borderId="10" xfId="0" applyFont="1" applyBorder="1"/>
    <xf numFmtId="3" fontId="0" fillId="0" borderId="10" xfId="0" applyNumberFormat="1" applyBorder="1"/>
    <xf numFmtId="0" fontId="19" fillId="0" borderId="0" xfId="0" applyFont="1"/>
    <xf numFmtId="0" fontId="0" fillId="0" borderId="0" xfId="0" applyAlignment="1">
      <alignment horizontal="center"/>
    </xf>
    <xf numFmtId="42" fontId="0" fillId="0" borderId="10" xfId="0" applyNumberFormat="1" applyBorder="1"/>
    <xf numFmtId="42" fontId="0" fillId="0" borderId="11" xfId="0" applyNumberFormat="1" applyBorder="1"/>
    <xf numFmtId="10" fontId="0" fillId="0" borderId="11" xfId="42" applyNumberFormat="1" applyFont="1" applyBorder="1"/>
    <xf numFmtId="10" fontId="0" fillId="0" borderId="0" xfId="42" applyNumberFormat="1" applyFont="1"/>
    <xf numFmtId="42" fontId="0" fillId="0" borderId="12" xfId="0" applyNumberFormat="1" applyBorder="1"/>
    <xf numFmtId="42" fontId="20" fillId="0" borderId="10" xfId="0" applyNumberFormat="1" applyFont="1" applyBorder="1" applyAlignment="1">
      <alignment horizontal="center"/>
    </xf>
    <xf numFmtId="42" fontId="20" fillId="0" borderId="10" xfId="42" applyNumberFormat="1" applyFont="1" applyBorder="1" applyAlignment="1">
      <alignment horizontal="center"/>
    </xf>
    <xf numFmtId="2" fontId="0" fillId="0" borderId="10" xfId="0" applyNumberFormat="1" applyBorder="1"/>
    <xf numFmtId="2" fontId="0" fillId="0" borderId="11" xfId="42" applyNumberFormat="1" applyFont="1" applyBorder="1"/>
    <xf numFmtId="0" fontId="14" fillId="0" borderId="0" xfId="0" applyFont="1"/>
    <xf numFmtId="42" fontId="0" fillId="0" borderId="0" xfId="0" applyNumberFormat="1"/>
    <xf numFmtId="164" fontId="0" fillId="0" borderId="0" xfId="0" applyNumberFormat="1"/>
    <xf numFmtId="164" fontId="14" fillId="0" borderId="0" xfId="0" applyNumberFormat="1" applyFont="1"/>
    <xf numFmtId="164" fontId="14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[0]" xfId="43" builtinId="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B10" zoomScale="85" zoomScaleNormal="85" workbookViewId="0">
      <selection activeCell="C35" sqref="C35"/>
    </sheetView>
  </sheetViews>
  <sheetFormatPr defaultRowHeight="15" x14ac:dyDescent="0.25"/>
  <cols>
    <col min="1" max="1" width="9" style="13"/>
    <col min="2" max="2" width="84.140625" bestFit="1" customWidth="1"/>
    <col min="3" max="6" width="27.5703125" customWidth="1"/>
    <col min="8" max="8" width="18.140625" customWidth="1"/>
    <col min="9" max="9" width="24.5703125" customWidth="1"/>
  </cols>
  <sheetData>
    <row r="1" spans="1:9" s="3" customFormat="1" x14ac:dyDescent="0.25">
      <c r="A1" s="1" t="s">
        <v>5</v>
      </c>
      <c r="B1" s="1" t="s">
        <v>6</v>
      </c>
      <c r="C1" s="1">
        <v>2021</v>
      </c>
      <c r="D1" s="1">
        <v>2022</v>
      </c>
      <c r="E1" s="2">
        <v>2023</v>
      </c>
      <c r="F1" s="2">
        <v>2024</v>
      </c>
      <c r="G1" s="1" t="s">
        <v>24</v>
      </c>
      <c r="H1" s="3" t="s">
        <v>30</v>
      </c>
    </row>
    <row r="2" spans="1:9" x14ac:dyDescent="0.25">
      <c r="A2" s="4"/>
      <c r="B2" s="5" t="s">
        <v>4</v>
      </c>
      <c r="C2" s="14">
        <f>10220142967274.4/1000000</f>
        <v>10220142.967274399</v>
      </c>
      <c r="D2" s="14">
        <f>16804693779012.7/1000000</f>
        <v>16804693.779012699</v>
      </c>
      <c r="E2" s="15">
        <f>17750987305165.5/1000000</f>
        <v>17750987.305165499</v>
      </c>
      <c r="F2" s="15">
        <f>22084696501917.3/1000000</f>
        <v>22084696.501917303</v>
      </c>
      <c r="G2" s="8" t="s">
        <v>25</v>
      </c>
      <c r="I2" s="24"/>
    </row>
    <row r="3" spans="1:9" x14ac:dyDescent="0.25">
      <c r="A3" s="4">
        <v>1</v>
      </c>
      <c r="B3" s="5" t="s">
        <v>11</v>
      </c>
      <c r="C3" s="14">
        <f>6111918272284.37/1000000</f>
        <v>6111918.2722843699</v>
      </c>
      <c r="D3" s="14">
        <f>8997262540257.73/1000000</f>
        <v>8997262.5402577296</v>
      </c>
      <c r="E3" s="15">
        <f>10334805509404.5/1000000</f>
        <v>10334805.509404499</v>
      </c>
      <c r="F3" s="15">
        <f>10239889614105.3/1000000</f>
        <v>10239889.614105301</v>
      </c>
      <c r="G3" s="8" t="s">
        <v>25</v>
      </c>
      <c r="I3" s="24"/>
    </row>
    <row r="4" spans="1:9" x14ac:dyDescent="0.25">
      <c r="A4" s="4"/>
      <c r="B4" s="5" t="s">
        <v>0</v>
      </c>
      <c r="C4" s="14">
        <f>4774890855288.57/1000000</f>
        <v>4774890.8552885707</v>
      </c>
      <c r="D4" s="14">
        <f>7623597479495.64/1000000</f>
        <v>7623597.4794956399</v>
      </c>
      <c r="E4" s="15">
        <f>8698162558337.21/1000000</f>
        <v>8698162.5583372097</v>
      </c>
      <c r="F4" s="15">
        <f>8571499366555.8/1000000</f>
        <v>8571499.3665558007</v>
      </c>
      <c r="G4" s="8" t="s">
        <v>25</v>
      </c>
    </row>
    <row r="5" spans="1:9" x14ac:dyDescent="0.25">
      <c r="A5" s="4"/>
      <c r="B5" s="5" t="s">
        <v>1</v>
      </c>
      <c r="C5" s="14">
        <f>13590719061/1000000</f>
        <v>13590.719061</v>
      </c>
      <c r="D5" s="14">
        <f>19980889916.31/1000000</f>
        <v>19980.889916310003</v>
      </c>
      <c r="E5" s="15">
        <f>68105206997.9/1000000</f>
        <v>68105.206997900008</v>
      </c>
      <c r="F5" s="15">
        <f>1100891467508.59/1000000</f>
        <v>1100891.4675085901</v>
      </c>
      <c r="G5" s="8" t="s">
        <v>25</v>
      </c>
      <c r="H5" s="17"/>
    </row>
    <row r="6" spans="1:9" x14ac:dyDescent="0.25">
      <c r="A6" s="4"/>
      <c r="B6" s="5" t="s">
        <v>2</v>
      </c>
      <c r="C6" s="14">
        <f>214599338811/1000000</f>
        <v>214599.33881099999</v>
      </c>
      <c r="D6" s="14">
        <f>310262666521.63/1000000</f>
        <v>310262.66652163002</v>
      </c>
      <c r="E6" s="15">
        <f>206236357306.17/1000000</f>
        <v>206236.35730617002</v>
      </c>
      <c r="F6" s="15">
        <f>237692555597.37/1000000</f>
        <v>237692.55559737</v>
      </c>
      <c r="G6" s="8" t="s">
        <v>25</v>
      </c>
    </row>
    <row r="7" spans="1:9" x14ac:dyDescent="0.25">
      <c r="A7" s="4"/>
      <c r="B7" s="5" t="s">
        <v>3</v>
      </c>
      <c r="C7" s="14">
        <f>1108837359052.77/1000000</f>
        <v>1108837.3590527701</v>
      </c>
      <c r="D7" s="14">
        <f>1043645927576.7/1000000</f>
        <v>1043645.9275767</v>
      </c>
      <c r="E7" s="15">
        <f>1308301386763.19/1000000</f>
        <v>1308301.3867631899</v>
      </c>
      <c r="F7" s="15">
        <f>329801224443.63/1000000</f>
        <v>329801.22444363002</v>
      </c>
      <c r="G7" s="8" t="s">
        <v>25</v>
      </c>
      <c r="H7" s="18"/>
      <c r="I7" s="24"/>
    </row>
    <row r="8" spans="1:9" x14ac:dyDescent="0.25">
      <c r="A8" s="4"/>
      <c r="B8" s="5" t="s">
        <v>7</v>
      </c>
      <c r="C8" s="9">
        <v>0.90959999999999996</v>
      </c>
      <c r="D8" s="9">
        <v>0.72740000000000005</v>
      </c>
      <c r="E8" s="16">
        <f>E47/E46</f>
        <v>0.77464293634548465</v>
      </c>
      <c r="F8" s="16">
        <f>F47/F46</f>
        <v>0.71752979204568135</v>
      </c>
      <c r="G8" s="8" t="s">
        <v>26</v>
      </c>
    </row>
    <row r="9" spans="1:9" x14ac:dyDescent="0.25">
      <c r="A9" s="4"/>
      <c r="B9" s="5" t="s">
        <v>8</v>
      </c>
      <c r="C9" s="9">
        <v>0.1555</v>
      </c>
      <c r="D9" s="9">
        <v>0.47210000000000002</v>
      </c>
      <c r="E9" s="17">
        <f>(E3-D3)/E3</f>
        <v>0.12942120371105464</v>
      </c>
      <c r="F9" s="17">
        <f>(F3-E3)/E3</f>
        <v>-9.1841007760452044E-3</v>
      </c>
      <c r="G9" s="8" t="s">
        <v>26</v>
      </c>
    </row>
    <row r="10" spans="1:9" x14ac:dyDescent="0.25">
      <c r="A10" s="4"/>
      <c r="B10" s="5" t="s">
        <v>9</v>
      </c>
      <c r="C10" s="14">
        <f>(6111918272284.37-5396942567871)/1000000</f>
        <v>714975.70441337011</v>
      </c>
      <c r="D10" s="14">
        <f>1923513354195.28/1000000</f>
        <v>1923513.35419528</v>
      </c>
      <c r="E10" s="15">
        <f>E3-D3</f>
        <v>1337542.9691467695</v>
      </c>
      <c r="F10" s="15">
        <f>F3-E3</f>
        <v>-94915.895299198106</v>
      </c>
      <c r="G10" s="8" t="s">
        <v>25</v>
      </c>
    </row>
    <row r="11" spans="1:9" x14ac:dyDescent="0.25">
      <c r="A11" s="4"/>
      <c r="B11" s="5" t="s">
        <v>10</v>
      </c>
      <c r="C11" s="14">
        <f>(1108837359052.77-875459533139)/1000000</f>
        <v>233377.82591377001</v>
      </c>
      <c r="D11" s="14">
        <f>163895839576.7/1000000</f>
        <v>163895.8395767</v>
      </c>
      <c r="E11" s="15">
        <f>E7-D7</f>
        <v>264655.45918648993</v>
      </c>
      <c r="F11" s="15" t="s">
        <v>53</v>
      </c>
      <c r="G11" s="8" t="s">
        <v>25</v>
      </c>
    </row>
    <row r="12" spans="1:9" x14ac:dyDescent="0.25">
      <c r="A12" s="4">
        <v>2</v>
      </c>
      <c r="B12" s="10" t="s">
        <v>18</v>
      </c>
      <c r="C12" s="14">
        <f>4094319639990/1000000</f>
        <v>4094319.6399900001</v>
      </c>
      <c r="D12" s="14">
        <f>7753118158535/1000000</f>
        <v>7753118.1585349999</v>
      </c>
      <c r="E12" s="15">
        <f>7006932857919/1000000</f>
        <v>7006932.8579190001</v>
      </c>
      <c r="F12" s="15">
        <f>11616584415718/1000000</f>
        <v>11616584.415718</v>
      </c>
      <c r="G12" s="8" t="s">
        <v>25</v>
      </c>
    </row>
    <row r="13" spans="1:9" x14ac:dyDescent="0.25">
      <c r="A13" s="4"/>
      <c r="B13" s="5" t="s">
        <v>17</v>
      </c>
      <c r="C13" s="14">
        <f>(888898437759+1703069394640)/1000000</f>
        <v>2591967.8323989999</v>
      </c>
      <c r="D13" s="14">
        <f>6329446113503/1000000</f>
        <v>6329446.1135029998</v>
      </c>
      <c r="E13" s="15">
        <f>5486976206730/1000000</f>
        <v>5486976.2067299997</v>
      </c>
      <c r="F13" s="15">
        <f>9946322919000/1000000</f>
        <v>9946322.9189999998</v>
      </c>
      <c r="G13" s="8" t="s">
        <v>25</v>
      </c>
      <c r="I13" s="25"/>
    </row>
    <row r="14" spans="1:9" x14ac:dyDescent="0.25">
      <c r="A14" s="4"/>
      <c r="B14" s="5" t="s">
        <v>31</v>
      </c>
      <c r="C14" s="9">
        <f>C13/C12</f>
        <v>0.63306435752664647</v>
      </c>
      <c r="D14" s="9">
        <f>D13/D12</f>
        <v>0.8163742618233214</v>
      </c>
      <c r="E14" s="16">
        <f>E13/E12</f>
        <v>0.78307817671305402</v>
      </c>
      <c r="F14" s="16">
        <f>F13/F12</f>
        <v>0.8562175044793694</v>
      </c>
      <c r="G14" s="8" t="s">
        <v>26</v>
      </c>
    </row>
    <row r="15" spans="1:9" x14ac:dyDescent="0.25">
      <c r="A15" s="4"/>
      <c r="B15" s="5" t="s">
        <v>32</v>
      </c>
      <c r="C15" s="9">
        <f>C13/10220142967274.4</f>
        <v>2.5361365694185091E-7</v>
      </c>
      <c r="D15" s="9">
        <v>0.37659999999999999</v>
      </c>
      <c r="E15" s="16">
        <f>E13/17981765771642.6</f>
        <v>3.051411233140968E-7</v>
      </c>
      <c r="F15" s="16">
        <f>F13/F2</f>
        <v>0.45037172768647743</v>
      </c>
      <c r="G15" s="8" t="s">
        <v>26</v>
      </c>
    </row>
    <row r="16" spans="1:9" x14ac:dyDescent="0.25">
      <c r="A16" s="4"/>
      <c r="B16" s="5" t="s">
        <v>33</v>
      </c>
      <c r="C16" s="9">
        <v>0.38579999999999998</v>
      </c>
      <c r="D16" s="9">
        <v>0.51170000000000004</v>
      </c>
      <c r="E16" s="16">
        <f>E13/E46</f>
        <v>0.41127502172840519</v>
      </c>
      <c r="F16" s="16">
        <f>F13/F46</f>
        <v>0.69695897950486185</v>
      </c>
      <c r="G16" s="8" t="s">
        <v>26</v>
      </c>
    </row>
    <row r="17" spans="1:7" x14ac:dyDescent="0.25">
      <c r="A17" s="4"/>
      <c r="B17" s="5" t="s">
        <v>34</v>
      </c>
      <c r="C17" s="9">
        <v>-0.26879999999999998</v>
      </c>
      <c r="D17" s="9">
        <v>1.5006999999999999</v>
      </c>
      <c r="E17" s="16">
        <f>(E13-D13)/D13</f>
        <v>-0.13310325922132535</v>
      </c>
      <c r="F17" s="16">
        <f>(F13-E13)/E13</f>
        <v>0.812714789395374</v>
      </c>
      <c r="G17" s="8" t="s">
        <v>26</v>
      </c>
    </row>
    <row r="18" spans="1:7" x14ac:dyDescent="0.25">
      <c r="A18" s="4"/>
      <c r="B18" s="5" t="s">
        <v>35</v>
      </c>
      <c r="C18" s="9">
        <v>-0.15260000000000001</v>
      </c>
      <c r="D18" s="9">
        <v>0.90269999999999995</v>
      </c>
      <c r="E18" s="16">
        <f>(E12-D12)/D12</f>
        <v>-9.6243251470966393E-2</v>
      </c>
      <c r="F18" s="16">
        <f>(F12-E12)/E12</f>
        <v>0.65787009113257411</v>
      </c>
      <c r="G18" s="8" t="s">
        <v>26</v>
      </c>
    </row>
    <row r="19" spans="1:7" x14ac:dyDescent="0.25">
      <c r="A19" s="4"/>
      <c r="B19" s="5" t="s">
        <v>36</v>
      </c>
      <c r="C19" s="9">
        <v>0.60940000000000005</v>
      </c>
      <c r="D19" s="9">
        <v>0.62980000000000003</v>
      </c>
      <c r="E19" s="16">
        <f>E12/E46</f>
        <v>0.52520301798566149</v>
      </c>
      <c r="F19" s="16">
        <f>F13/F46</f>
        <v>0.69695897950486185</v>
      </c>
      <c r="G19" s="8" t="s">
        <v>26</v>
      </c>
    </row>
    <row r="20" spans="1:7" x14ac:dyDescent="0.25">
      <c r="A20" s="4"/>
      <c r="B20" s="5" t="s">
        <v>13</v>
      </c>
      <c r="C20" s="14">
        <f>828050174361/1000000</f>
        <v>828050.17436099995</v>
      </c>
      <c r="D20" s="14">
        <f>824108986889/1000000</f>
        <v>824108.98688900005</v>
      </c>
      <c r="E20" s="15">
        <f>857319948081/1000000</f>
        <v>857319.94808100001</v>
      </c>
      <c r="F20" s="15">
        <f>927318126878/1000000</f>
        <v>927318.12687799998</v>
      </c>
      <c r="G20" s="8" t="s">
        <v>25</v>
      </c>
    </row>
    <row r="21" spans="1:7" x14ac:dyDescent="0.25">
      <c r="A21" s="4"/>
      <c r="B21" s="5" t="s">
        <v>45</v>
      </c>
      <c r="C21" s="9">
        <v>0.20219999999999999</v>
      </c>
      <c r="D21" s="9">
        <v>0.10580000000000001</v>
      </c>
      <c r="E21" s="16">
        <f>E20/E12</f>
        <v>0.12235309877589105</v>
      </c>
      <c r="F21" s="16">
        <f>F20/F12</f>
        <v>7.9827089761709796E-2</v>
      </c>
      <c r="G21" s="8" t="s">
        <v>26</v>
      </c>
    </row>
    <row r="22" spans="1:7" x14ac:dyDescent="0.25">
      <c r="A22" s="4"/>
      <c r="B22" s="5" t="s">
        <v>46</v>
      </c>
      <c r="C22" s="9">
        <v>8.1000000000000003E-2</v>
      </c>
      <c r="D22" s="9">
        <v>4.9000000000000002E-2</v>
      </c>
      <c r="E22" s="16">
        <f>E20/17981765771642.6</f>
        <v>4.7677183596340741E-8</v>
      </c>
      <c r="F22" s="16">
        <f>F20/F2</f>
        <v>4.1989172312034896E-2</v>
      </c>
      <c r="G22" s="8" t="s">
        <v>26</v>
      </c>
    </row>
    <row r="23" spans="1:7" x14ac:dyDescent="0.25">
      <c r="A23" s="4"/>
      <c r="B23" s="5" t="s">
        <v>48</v>
      </c>
      <c r="C23" s="9">
        <v>0.1232</v>
      </c>
      <c r="D23" s="9">
        <v>6.6600000000000006E-2</v>
      </c>
      <c r="E23" s="16">
        <f>E20/E46</f>
        <v>6.4260216736995737E-2</v>
      </c>
      <c r="F23" s="16">
        <f>F20/F46</f>
        <v>6.4979058155315753E-2</v>
      </c>
      <c r="G23" s="8" t="s">
        <v>26</v>
      </c>
    </row>
    <row r="24" spans="1:7" x14ac:dyDescent="0.25">
      <c r="A24" s="4"/>
      <c r="B24" s="5" t="s">
        <v>47</v>
      </c>
      <c r="C24" s="9">
        <v>-4.0000000000000001E-3</v>
      </c>
      <c r="D24" s="9">
        <v>-4.7999999999999996E-3</v>
      </c>
      <c r="E24" s="16">
        <f>(E20-D20)/D20</f>
        <v>4.0299234349295082E-2</v>
      </c>
      <c r="F24" s="16">
        <f>(F20-E20)/E20</f>
        <v>8.1647673022985007E-2</v>
      </c>
      <c r="G24" s="8" t="s">
        <v>26</v>
      </c>
    </row>
    <row r="25" spans="1:7" x14ac:dyDescent="0.25">
      <c r="A25" s="4"/>
      <c r="B25" s="5" t="s">
        <v>12</v>
      </c>
      <c r="C25" s="14">
        <f>636847322230/1000000</f>
        <v>636847.32223000005</v>
      </c>
      <c r="D25" s="14">
        <f>(233206951954+366356106189)/1000000</f>
        <v>599563.058143</v>
      </c>
      <c r="E25" s="15">
        <f>662636508108/1000000</f>
        <v>662636.50810800004</v>
      </c>
      <c r="F25" s="15">
        <f>740277629340/1000000</f>
        <v>740277.62933999998</v>
      </c>
      <c r="G25" s="8" t="s">
        <v>25</v>
      </c>
    </row>
    <row r="26" spans="1:7" x14ac:dyDescent="0.25">
      <c r="A26" s="4"/>
      <c r="B26" s="5" t="s">
        <v>37</v>
      </c>
      <c r="C26" s="9">
        <f>C25/C12</f>
        <v>0.15554411434070534</v>
      </c>
      <c r="D26" s="9">
        <v>7.6999999999999999E-2</v>
      </c>
      <c r="E26" s="16">
        <f>E25/E12</f>
        <v>9.456869668147462E-2</v>
      </c>
      <c r="F26" s="16">
        <f>F25/F12</f>
        <v>6.37259286247992E-2</v>
      </c>
      <c r="G26" s="8" t="s">
        <v>26</v>
      </c>
    </row>
    <row r="27" spans="1:7" x14ac:dyDescent="0.25">
      <c r="A27" s="4"/>
      <c r="B27" s="5" t="s">
        <v>38</v>
      </c>
      <c r="C27" s="9">
        <v>6.2300000000000001E-2</v>
      </c>
      <c r="D27" s="9">
        <v>3.5700000000000003E-2</v>
      </c>
      <c r="E27" s="16">
        <f>E25/17981765771642</f>
        <v>3.6850469332272453E-8</v>
      </c>
      <c r="F27" s="16">
        <f>F25/F2</f>
        <v>3.3519936725222015E-2</v>
      </c>
      <c r="G27" s="8" t="s">
        <v>26</v>
      </c>
    </row>
    <row r="28" spans="1:7" x14ac:dyDescent="0.25">
      <c r="A28" s="4"/>
      <c r="B28" s="5" t="s">
        <v>49</v>
      </c>
      <c r="C28" s="9">
        <v>9.4799999999999995E-2</v>
      </c>
      <c r="D28" s="9">
        <v>4.8500000000000001E-2</v>
      </c>
      <c r="E28" s="16">
        <f>E25/E46</f>
        <v>4.9667764904081084E-2</v>
      </c>
      <c r="F28" s="16">
        <f>F25/F46</f>
        <v>5.1872751900051681E-2</v>
      </c>
      <c r="G28" s="8" t="s">
        <v>26</v>
      </c>
    </row>
    <row r="29" spans="1:7" x14ac:dyDescent="0.25">
      <c r="A29" s="4"/>
      <c r="B29" s="5" t="s">
        <v>39</v>
      </c>
      <c r="C29" s="9">
        <v>0.66069999999999995</v>
      </c>
      <c r="D29" s="9">
        <v>-5.8500000000000003E-2</v>
      </c>
      <c r="E29" s="16">
        <f>(E25-D25)/D25</f>
        <v>0.10519902637156237</v>
      </c>
      <c r="F29" s="16">
        <f>(F25-E25)/E25</f>
        <v>0.11717000237986522</v>
      </c>
      <c r="G29" s="8" t="s">
        <v>26</v>
      </c>
    </row>
    <row r="30" spans="1:7" x14ac:dyDescent="0.25">
      <c r="A30" s="4"/>
      <c r="B30" s="5" t="s">
        <v>28</v>
      </c>
      <c r="C30" s="19">
        <f>37454311000/1000000</f>
        <v>37454.311000000002</v>
      </c>
      <c r="D30" s="19">
        <f>37169461000/1000000</f>
        <v>37169.461000000003</v>
      </c>
      <c r="E30" s="15">
        <v>0</v>
      </c>
      <c r="F30" s="15">
        <v>0</v>
      </c>
      <c r="G30" s="8" t="s">
        <v>25</v>
      </c>
    </row>
    <row r="31" spans="1:7" x14ac:dyDescent="0.25">
      <c r="A31" s="4">
        <v>3</v>
      </c>
      <c r="B31" s="10" t="s">
        <v>20</v>
      </c>
      <c r="C31" s="19">
        <f>13905055000/1000000</f>
        <v>13905.055</v>
      </c>
      <c r="D31" s="20">
        <f>17147080000/1000000</f>
        <v>17147.080000000002</v>
      </c>
      <c r="E31" s="15">
        <f>409248937842/1000000</f>
        <v>409248.93784199998</v>
      </c>
      <c r="F31" s="15">
        <f>145492389472/1000000</f>
        <v>145492.38947200001</v>
      </c>
      <c r="G31" s="8" t="s">
        <v>25</v>
      </c>
    </row>
    <row r="32" spans="1:7" x14ac:dyDescent="0.25">
      <c r="A32" s="4"/>
      <c r="B32" s="10" t="s">
        <v>19</v>
      </c>
      <c r="C32" s="19">
        <f>C31</f>
        <v>13905.055</v>
      </c>
      <c r="D32" s="19">
        <f>17147080000/1000000</f>
        <v>17147.080000000002</v>
      </c>
      <c r="E32" s="15">
        <f>21055277000/1000000</f>
        <v>21055.276999999998</v>
      </c>
      <c r="F32" s="15">
        <f>22306820000/1000000</f>
        <v>22306.82</v>
      </c>
      <c r="G32" s="8" t="s">
        <v>25</v>
      </c>
    </row>
    <row r="33" spans="1:7" x14ac:dyDescent="0.25">
      <c r="A33" s="4"/>
      <c r="B33" s="5" t="s">
        <v>14</v>
      </c>
      <c r="C33" s="11"/>
      <c r="D33" s="11"/>
      <c r="E33" s="7"/>
      <c r="F33" s="7"/>
      <c r="G33" s="8"/>
    </row>
    <row r="34" spans="1:7" x14ac:dyDescent="0.25">
      <c r="A34" s="4"/>
      <c r="B34" s="5" t="s">
        <v>40</v>
      </c>
      <c r="C34" s="14">
        <f>2487211898441/1000000</f>
        <v>2487211.8984409999</v>
      </c>
      <c r="D34" s="14">
        <f>3542721678744/1000000</f>
        <v>3542721.6787439999</v>
      </c>
      <c r="E34" s="15">
        <f>4806911873431/1000000</f>
        <v>4806911.8734309999</v>
      </c>
      <c r="F34" s="15">
        <v>0</v>
      </c>
      <c r="G34" s="8" t="s">
        <v>27</v>
      </c>
    </row>
    <row r="35" spans="1:7" ht="30" x14ac:dyDescent="0.25">
      <c r="A35" s="4"/>
      <c r="B35" s="5" t="s">
        <v>41</v>
      </c>
      <c r="C35" s="6">
        <v>178.87</v>
      </c>
      <c r="D35" s="21">
        <f>D34/D32</f>
        <v>206.60787018804365</v>
      </c>
      <c r="E35" s="22">
        <f>E34/E31</f>
        <v>11.745691751280292</v>
      </c>
      <c r="F35" s="22">
        <v>0</v>
      </c>
      <c r="G35" s="8" t="s">
        <v>26</v>
      </c>
    </row>
    <row r="36" spans="1:7" ht="30" x14ac:dyDescent="0.25">
      <c r="A36" s="4"/>
      <c r="B36" s="5" t="s">
        <v>42</v>
      </c>
      <c r="C36" s="9">
        <v>0.24340000000000001</v>
      </c>
      <c r="D36" s="9">
        <v>0.21079999999999999</v>
      </c>
      <c r="E36" s="16">
        <f>E34/E2</f>
        <v>0.27079687404385666</v>
      </c>
      <c r="F36" s="16">
        <v>0</v>
      </c>
      <c r="G36" s="8" t="s">
        <v>26</v>
      </c>
    </row>
    <row r="37" spans="1:7" ht="30" x14ac:dyDescent="0.25">
      <c r="A37" s="4"/>
      <c r="B37" s="5" t="s">
        <v>43</v>
      </c>
      <c r="C37" s="9">
        <v>0.37019999999999997</v>
      </c>
      <c r="D37" s="9">
        <v>0.28639999999999999</v>
      </c>
      <c r="E37" s="16">
        <f>E34/E46</f>
        <v>0.36030095825220421</v>
      </c>
      <c r="F37" s="16">
        <v>0</v>
      </c>
      <c r="G37" s="8" t="s">
        <v>26</v>
      </c>
    </row>
    <row r="38" spans="1:7" ht="30" x14ac:dyDescent="0.25">
      <c r="A38" s="4"/>
      <c r="B38" s="5" t="s">
        <v>44</v>
      </c>
      <c r="C38" s="9">
        <v>0.23849999999999999</v>
      </c>
      <c r="D38" s="9">
        <v>0.4244</v>
      </c>
      <c r="E38" s="16">
        <f>(E34-D34)/D34</f>
        <v>0.35684152166737326</v>
      </c>
      <c r="F38" s="16">
        <v>0</v>
      </c>
      <c r="G38" s="8" t="s">
        <v>26</v>
      </c>
    </row>
    <row r="39" spans="1:7" x14ac:dyDescent="0.25">
      <c r="A39" s="4"/>
      <c r="B39" s="5" t="s">
        <v>21</v>
      </c>
      <c r="C39" s="12" t="s">
        <v>29</v>
      </c>
      <c r="D39" s="19">
        <v>0</v>
      </c>
      <c r="E39" s="15">
        <f>1197500000000/1000000</f>
        <v>1197500</v>
      </c>
      <c r="F39" s="15"/>
      <c r="G39" s="8" t="s">
        <v>25</v>
      </c>
    </row>
    <row r="40" spans="1:7" x14ac:dyDescent="0.25">
      <c r="A40" s="4"/>
      <c r="B40" s="5" t="s">
        <v>22</v>
      </c>
      <c r="C40" s="12" t="s">
        <v>29</v>
      </c>
      <c r="D40" s="19">
        <f>3018000000/1000000</f>
        <v>3018</v>
      </c>
      <c r="E40" s="15">
        <f>3254742000/1000000</f>
        <v>3254.7420000000002</v>
      </c>
      <c r="F40" s="15"/>
      <c r="G40" s="8" t="s">
        <v>25</v>
      </c>
    </row>
    <row r="41" spans="1:7" x14ac:dyDescent="0.25">
      <c r="A41" s="4"/>
      <c r="B41" s="5" t="s">
        <v>23</v>
      </c>
      <c r="C41" s="12" t="s">
        <v>29</v>
      </c>
      <c r="D41" s="19">
        <v>0</v>
      </c>
      <c r="E41" s="15">
        <v>0</v>
      </c>
      <c r="F41" s="15"/>
      <c r="G41" s="8" t="s">
        <v>25</v>
      </c>
    </row>
    <row r="42" spans="1:7" x14ac:dyDescent="0.25">
      <c r="A42" s="4"/>
      <c r="B42" s="5" t="s">
        <v>15</v>
      </c>
      <c r="C42" s="9">
        <v>1.5210999999999999</v>
      </c>
      <c r="D42" s="9">
        <v>1.3586</v>
      </c>
      <c r="E42" s="16">
        <f>E48/E46</f>
        <v>1.3305211130090444</v>
      </c>
      <c r="F42" s="16">
        <f>F46/F48</f>
        <v>0.6461954590303628</v>
      </c>
      <c r="G42" s="8" t="s">
        <v>25</v>
      </c>
    </row>
    <row r="43" spans="1:7" x14ac:dyDescent="0.25">
      <c r="A43" s="4"/>
      <c r="B43" s="5" t="s">
        <v>16</v>
      </c>
      <c r="C43" s="9">
        <v>8.6E-3</v>
      </c>
      <c r="D43" s="9">
        <v>0.64429999999999998</v>
      </c>
      <c r="E43" s="16">
        <f>(17981765771642-16804921663045.2)/16804921663045.2</f>
        <v>7.0029728920708717E-2</v>
      </c>
      <c r="F43" s="16">
        <f>(F2-E2)/E2</f>
        <v>0.24413905109890441</v>
      </c>
      <c r="G43" s="8" t="s">
        <v>26</v>
      </c>
    </row>
    <row r="45" spans="1:7" x14ac:dyDescent="0.25">
      <c r="C45" s="23"/>
      <c r="D45" s="23"/>
      <c r="E45" s="23"/>
      <c r="F45" s="23"/>
    </row>
    <row r="46" spans="1:7" x14ac:dyDescent="0.25">
      <c r="C46" s="23"/>
      <c r="D46" s="23" t="s">
        <v>50</v>
      </c>
      <c r="E46" s="26">
        <f>13341379653135/1000000</f>
        <v>13341379.653135</v>
      </c>
      <c r="F46" s="26">
        <f>14271030593602.7/1000000</f>
        <v>14271030.593602698</v>
      </c>
    </row>
    <row r="47" spans="1:7" x14ac:dyDescent="0.25">
      <c r="C47" s="23"/>
      <c r="D47" s="23" t="s">
        <v>51</v>
      </c>
      <c r="E47" s="27">
        <f>10334805509404.4/1000000</f>
        <v>10334805.5094044</v>
      </c>
      <c r="F47" s="26">
        <f>10239889614105.3/1000000</f>
        <v>10239889.614105301</v>
      </c>
    </row>
    <row r="48" spans="1:7" x14ac:dyDescent="0.25">
      <c r="C48" s="23"/>
      <c r="D48" s="23" t="s">
        <v>52</v>
      </c>
      <c r="E48" s="26">
        <f>17750987305165.4/1000000</f>
        <v>17750987.305165399</v>
      </c>
      <c r="F48" s="26">
        <f>22084696501917.3/1000000</f>
        <v>22084696.501917303</v>
      </c>
    </row>
  </sheetData>
  <phoneticPr fontId="2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S E R</dc:creator>
  <cp:lastModifiedBy>SITA-BID.PPSIP</cp:lastModifiedBy>
  <dcterms:created xsi:type="dcterms:W3CDTF">2023-10-31T06:24:31Z</dcterms:created>
  <dcterms:modified xsi:type="dcterms:W3CDTF">2026-01-07T06:07:07Z</dcterms:modified>
</cp:coreProperties>
</file>